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 codeName="ThisWorkbook" defaultThemeVersion="166925"/>
  <bookViews>
    <workbookView xWindow="0" yWindow="0" windowWidth="9210" windowHeight="1380" activeTab="0"/>
  </bookViews>
  <sheets>
    <sheet name="Inputs &amp; Summary" sheetId="5" r:id="rId1"/>
    <sheet name="Senate" sheetId="2" state="veryHidden" r:id="rId2"/>
    <sheet name="House" sheetId="1" state="veryHidden" r:id="rId3"/>
    <sheet name="C-Corp" sheetId="4" state="veryHidden" r:id="rId4"/>
    <sheet name="Inputs" sheetId="6" state="veryHidden" r:id="rId5"/>
  </sheets>
  <definedNames/>
  <calcPr calcId="171027"/>
</workbook>
</file>

<file path=xl/sharedStrings.xml><?xml version="1.0" encoding="utf-8"?>
<sst xmlns="http://schemas.openxmlformats.org/spreadsheetml/2006/main" count="139" uniqueCount="91">
  <si>
    <t xml:space="preserve">Tax System: </t>
  </si>
  <si>
    <t>Without IC-DISC Pass-Through</t>
  </si>
  <si>
    <t>Export Taxable Income</t>
  </si>
  <si>
    <t>IC-DISC Commission</t>
  </si>
  <si>
    <t>Taxable Income After 17.4 percent business deduction</t>
  </si>
  <si>
    <t>Tax</t>
  </si>
  <si>
    <t>Qualified Dividend Amount</t>
  </si>
  <si>
    <t>Qualified Dividend Tax</t>
  </si>
  <si>
    <t>Total Tax</t>
  </si>
  <si>
    <t>Effective Tax Rate</t>
  </si>
  <si>
    <t>Taxpayer W2 Wages</t>
  </si>
  <si>
    <t>W-2 Wage Limit</t>
  </si>
  <si>
    <t>Tax Rate - Qualified Dividend</t>
  </si>
  <si>
    <t>SENATE</t>
  </si>
  <si>
    <t>If the amount of qualified business income is less than zero for a taxable year, i.e., is a</t>
  </si>
  <si>
    <t>loss, the amount of the loss is treated as a loss from qualified businesses in the next taxable year.</t>
  </si>
  <si>
    <t>Qualified business income or loss does not include certain investment-related income,</t>
  </si>
  <si>
    <t>gain, deductions, or loss.</t>
  </si>
  <si>
    <t>Note 100% expensing</t>
  </si>
  <si>
    <t>Net investment income is investment income net of investment expenses. Investment</t>
  </si>
  <si>
    <t>income generally consists of gross income from property held for investment, and investment</t>
  </si>
  <si>
    <t>expense includes all deductions directly connected with the production of investment income</t>
  </si>
  <si>
    <t>(e.g., deductions for investment management fees) other than deductions for interest. Investment</t>
  </si>
  <si>
    <t>income includes only so much of the taxpayer’s net capital gain and qualified dividend income</t>
  </si>
  <si>
    <t>as the taxpayer elects to take into account as investment income.</t>
  </si>
  <si>
    <t>A dividend is treated as investment income for purposes of determining the amount of</t>
  </si>
  <si>
    <t>deductible investment interest only if the taxpayer elects to treat the dividend as not eligible for</t>
  </si>
  <si>
    <t>the reduced rates.</t>
  </si>
  <si>
    <t>CURRENT LAW</t>
  </si>
  <si>
    <t>Rate Differential</t>
  </si>
  <si>
    <t>Tax Savings</t>
  </si>
  <si>
    <t>Owner Compensation Add-Back</t>
  </si>
  <si>
    <t>Percentage of Income Pass Thru-Rate Applies to</t>
  </si>
  <si>
    <t>Tax at Pass-Thru Rate</t>
  </si>
  <si>
    <t>Tax at Ordinary Rate</t>
  </si>
  <si>
    <t xml:space="preserve">Business Taxable Income before 70 / 30 </t>
  </si>
  <si>
    <t>income Taxed at Pass-Thru Rate</t>
  </si>
  <si>
    <t>Income Taxed at Ordinary Rate</t>
  </si>
  <si>
    <t>Business Taxable Income</t>
  </si>
  <si>
    <t>WithIC-DISC Pass-Through</t>
  </si>
  <si>
    <t xml:space="preserve">(Min of Wage Limit or 17.4% of Bussiness Taxable Income. </t>
  </si>
  <si>
    <t>Not applicable in this model if Qualified dividend does not impact amount)</t>
  </si>
  <si>
    <t>Qualified Business Income</t>
  </si>
  <si>
    <t>IC-DISC Qualified Sales</t>
  </si>
  <si>
    <t>IC-DISC Qualified Income</t>
  </si>
  <si>
    <t>Active or Passive</t>
  </si>
  <si>
    <t>Active</t>
  </si>
  <si>
    <t>Passive</t>
  </si>
  <si>
    <t>Senate Impact</t>
  </si>
  <si>
    <t>Repeal of the IC-DISC on US Manufacturers and Producers with an IC-DISC</t>
  </si>
  <si>
    <t>Business Taxable Income After Compensation Add-Back</t>
  </si>
  <si>
    <t>House Pass-Thru Rate</t>
  </si>
  <si>
    <t>House Pass -Thru Percentage</t>
  </si>
  <si>
    <t>With IC-DISC Pass-Through</t>
  </si>
  <si>
    <t>Tax Rate - C Corporation</t>
  </si>
  <si>
    <t>Business Structure</t>
  </si>
  <si>
    <t>C-Corporation</t>
  </si>
  <si>
    <t>Flow-Thru</t>
  </si>
  <si>
    <t>Summary</t>
  </si>
  <si>
    <t>Taxes Paid</t>
  </si>
  <si>
    <t>Without an IC-DISC</t>
  </si>
  <si>
    <t>With an IC-DISC</t>
  </si>
  <si>
    <t>Tax Rates</t>
  </si>
  <si>
    <t>Tax Rate - Ordinary Income (House)</t>
  </si>
  <si>
    <t>Tax Rate - Ordinary Income (Senate)</t>
  </si>
  <si>
    <t>17.4 percent business deduction related to Export Taxable Income</t>
  </si>
  <si>
    <t>Domestic Qualified Business Income</t>
  </si>
  <si>
    <t>Export Taxable Income before 17.4% Business Deduction</t>
  </si>
  <si>
    <t>Inputs</t>
  </si>
  <si>
    <t>Input Description</t>
  </si>
  <si>
    <t>Tax Rate</t>
  </si>
  <si>
    <t>Values</t>
  </si>
  <si>
    <t>House Impact</t>
  </si>
  <si>
    <t>C-Corporation Impact</t>
  </si>
  <si>
    <t>DISC Commission Amount</t>
  </si>
  <si>
    <t>Tax on DISC Commission Amount for Comparison</t>
  </si>
  <si>
    <t>Tax on the DISC Commission Distributed</t>
  </si>
  <si>
    <t>Tax at C-Corporation Level</t>
  </si>
  <si>
    <t>Without IC-DISC</t>
  </si>
  <si>
    <t>HOUSE / SENATE</t>
  </si>
  <si>
    <t>With IC-DISC</t>
  </si>
  <si>
    <t>IMPACT OF REPEAL OF THE IC-DISC</t>
  </si>
  <si>
    <t>Taxed at Pass-Thru Rate</t>
  </si>
  <si>
    <t xml:space="preserve">Tax On DISC Commission </t>
  </si>
  <si>
    <t>INCREASE IN TAX ON US MAUFACTURERS, GROWERS AND PRODUCERS</t>
  </si>
  <si>
    <t>TAX INCREASE DUE TO PROPOSED TAX REFORM</t>
  </si>
  <si>
    <t>House Reform</t>
  </si>
  <si>
    <t>Current Law</t>
  </si>
  <si>
    <t>Senate Reform No IC-DISC</t>
  </si>
  <si>
    <t>Senate Reform with IC-DISC</t>
  </si>
  <si>
    <t>TAX (BENEFIT)/COST OF IC-DISC VS. NO IC-DISC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</si>
</sst>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  <numFmt numFmtId="177" formatCode="0.0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  <font>
      <b/>
      <i/>
      <sz val="14"/>
      <color theme="8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/>
      <right style="thin">
        <color theme="8"/>
      </right>
      <top style="thin">
        <color theme="8"/>
      </top>
      <bottom/>
    </border>
    <border>
      <left/>
      <right/>
      <top/>
      <bottom style="thin">
        <color theme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</cellStyleXfs>
  <cellXfs count="47">
    <xf numFmtId="0" fontId="0" fillId="0" borderId="0" xfId="0"/>
    <xf numFmtId="0" fontId="0" fillId="0" borderId="3" xfId="0" applyBorder="1"/>
    <xf numFmtId="3" fontId="0" fillId="0" borderId="0" xfId="0" applyNumberFormat="1"/>
    <xf numFmtId="9" fontId="0" fillId="0" borderId="0" xfId="0" applyNumberFormat="1"/>
    <xf numFmtId="164" fontId="0" fillId="0" borderId="0" xfId="18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0" fontId="0" fillId="0" borderId="0" xfId="15" applyNumberFormat="1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/>
    <xf numFmtId="10" fontId="2" fillId="0" borderId="0" xfId="0" applyNumberFormat="1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/>
    <xf numFmtId="164" fontId="0" fillId="0" borderId="0" xfId="18" applyNumberFormat="1" applyFont="1"/>
    <xf numFmtId="164" fontId="0" fillId="0" borderId="0" xfId="0" applyNumberFormat="1"/>
    <xf numFmtId="164" fontId="0" fillId="0" borderId="0" xfId="18" applyNumberFormat="1" applyFont="1"/>
    <xf numFmtId="3" fontId="0" fillId="0" borderId="0" xfId="0" applyNumberFormat="1" applyAlignment="1">
      <alignment horizontal="right"/>
    </xf>
    <xf numFmtId="0" fontId="6" fillId="0" borderId="0" xfId="0" applyFont="1"/>
    <xf numFmtId="0" fontId="9" fillId="0" borderId="0" xfId="0" applyFont="1"/>
    <xf numFmtId="10" fontId="0" fillId="0" borderId="0" xfId="0" applyNumberFormat="1" applyFill="1"/>
    <xf numFmtId="0" fontId="7" fillId="0" borderId="0" xfId="21" applyFont="1" applyFill="1" applyBorder="1"/>
    <xf numFmtId="164" fontId="7" fillId="0" borderId="0" xfId="21" applyNumberFormat="1" applyFont="1" applyFill="1" applyBorder="1"/>
    <xf numFmtId="0" fontId="8" fillId="0" borderId="0" xfId="21" applyFont="1" applyFill="1" applyBorder="1"/>
    <xf numFmtId="164" fontId="4" fillId="3" borderId="0" xfId="20" applyNumberFormat="1" applyFill="1" applyBorder="1"/>
    <xf numFmtId="10" fontId="7" fillId="0" borderId="0" xfId="21" applyNumberFormat="1" applyFont="1" applyFill="1" applyBorder="1"/>
    <xf numFmtId="164" fontId="10" fillId="4" borderId="4" xfId="18" applyNumberFormat="1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164" fontId="10" fillId="0" borderId="0" xfId="18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2" fillId="0" borderId="0" xfId="0" applyFont="1"/>
    <xf numFmtId="164" fontId="0" fillId="0" borderId="0" xfId="18" applyNumberFormat="1" applyFont="1" applyAlignment="1">
      <alignment horizontal="right"/>
    </xf>
    <xf numFmtId="164" fontId="0" fillId="5" borderId="0" xfId="18" applyNumberFormat="1" applyFont="1" applyFill="1" applyProtection="1">
      <protection locked="0"/>
    </xf>
    <xf numFmtId="10" fontId="0" fillId="5" borderId="0" xfId="0" applyNumberFormat="1" applyFill="1" applyProtection="1">
      <protection locked="0"/>
    </xf>
    <xf numFmtId="164" fontId="13" fillId="3" borderId="0" xfId="20" applyNumberFormat="1" applyFont="1" applyFill="1" applyBorder="1"/>
    <xf numFmtId="10" fontId="7" fillId="0" borderId="0" xfId="21" applyNumberFormat="1" applyFont="1" applyFill="1" applyBorder="1" applyAlignment="1">
      <alignment horizontal="center"/>
    </xf>
    <xf numFmtId="10" fontId="4" fillId="3" borderId="0" xfId="15" applyNumberFormat="1" applyFont="1" applyFill="1" applyBorder="1"/>
    <xf numFmtId="10" fontId="7" fillId="0" borderId="0" xfId="21" applyNumberFormat="1" applyFont="1" applyFill="1" applyBorder="1" applyAlignment="1">
      <alignment horizontal="right"/>
    </xf>
    <xf numFmtId="164" fontId="0" fillId="5" borderId="0" xfId="18" applyNumberFormat="1" applyFont="1" applyFill="1" applyProtection="1">
      <protection/>
    </xf>
    <xf numFmtId="0" fontId="4" fillId="3" borderId="5" xfId="20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Calculation" xfId="21"/>
  </cellStyles>
  <dxfs count="4">
    <dxf>
      <numFmt numFmtId="177" formatCode="0.00%"/>
      <fill>
        <patternFill patternType="solid">
          <bgColor theme="8" tint="0.7999799847602844"/>
        </patternFill>
      </fill>
    </dxf>
    <dxf>
      <font>
        <i val="0"/>
        <u val="none"/>
        <strike val="0"/>
        <sz val="14"/>
        <name val="Calibri"/>
        <color theme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 patternType="solid">
          <bgColor theme="0" tint="-0.1499900072813034"/>
        </patternFill>
      </fill>
      <protection hidden="1" locked="0"/>
    </dxf>
    <dxf>
      <font>
        <i val="0"/>
        <u val="none"/>
        <strike val="0"/>
        <sz val="14"/>
        <name val="Calibri"/>
        <color theme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"/>
          <c:y val="0.04125"/>
          <c:w val="0.793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'Inputs &amp; Summary'!$D$8</c:f>
              <c:strCache>
                <c:ptCount val="1"/>
                <c:pt idx="0">
                  <c:v>Without an IC-DISC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'Inputs &amp; Summary'!$E$3:$H$3</c:f>
              <c:strCache/>
            </c:strRef>
          </c:cat>
          <c:val>
            <c:numRef>
              <c:f>'Inputs &amp; Summary'!$E$8:$H$8</c:f>
              <c:numCache/>
            </c:numRef>
          </c:val>
        </c:ser>
        <c:ser>
          <c:idx val="1"/>
          <c:order val="1"/>
          <c:tx>
            <c:strRef>
              <c:f>'Inputs &amp; Summary'!$D$9</c:f>
              <c:strCache>
                <c:ptCount val="1"/>
                <c:pt idx="0">
                  <c:v>With an IC-DISC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'Inputs &amp; Summary'!$E$3:$H$3</c:f>
              <c:strCache/>
            </c:strRef>
          </c:cat>
          <c:val>
            <c:numRef>
              <c:f>'Inputs &amp; Summary'!$E$9:$H$9</c:f>
              <c:numCache/>
            </c:numRef>
          </c:val>
        </c:ser>
        <c:axId val="13997649"/>
        <c:axId val="58869978"/>
      </c:barChart>
      <c:catAx>
        <c:axId val="13997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8869978"/>
        <c:crosses val="autoZero"/>
        <c:auto val="1"/>
        <c:lblOffset val="100"/>
        <c:noMultiLvlLbl val="0"/>
      </c:catAx>
      <c:valAx>
        <c:axId val="58869978"/>
        <c:scaling>
          <c:orientation val="minMax"/>
        </c:scaling>
        <c:axPos val="l"/>
        <c:majorGridlines/>
        <c:delete val="0"/>
        <c:numFmt formatCode="_(* #,##0_);_(* \(#,##0\);_(* &quot;-&quot;??_);_(@_)" sourceLinked="1"/>
        <c:majorTickMark val="out"/>
        <c:minorTickMark val="none"/>
        <c:tickLblPos val="nextTo"/>
        <c:crossAx val="139976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5275"/>
          <c:y val="0.87525"/>
          <c:w val="0.6755"/>
          <c:h val="0.0935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'Inputs &amp; Summary'!$D$15</c:f>
              <c:strCache>
                <c:ptCount val="1"/>
                <c:pt idx="0">
                  <c:v>With an IC-DISC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'Inputs &amp; Summary'!$E$3:$H$3</c:f>
              <c:strCache/>
            </c:strRef>
          </c:cat>
          <c:val>
            <c:numRef>
              <c:f>'Inputs &amp; Summary'!$E$15:$H$15</c:f>
              <c:numCache/>
            </c:numRef>
          </c:val>
        </c:ser>
        <c:ser>
          <c:idx val="0"/>
          <c:order val="1"/>
          <c:tx>
            <c:strRef>
              <c:f>'Inputs &amp; Summary'!$D$14</c:f>
              <c:strCache>
                <c:ptCount val="1"/>
                <c:pt idx="0">
                  <c:v>Without an IC-DISC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'Inputs &amp; Summary'!$E$3:$H$3</c:f>
              <c:strCache/>
            </c:strRef>
          </c:cat>
          <c:val>
            <c:numRef>
              <c:f>'Inputs &amp; Summary'!$E$14:$H$14</c:f>
              <c:numCache/>
            </c:numRef>
          </c:val>
        </c:ser>
        <c:axId val="60067755"/>
        <c:axId val="3738884"/>
      </c:barChart>
      <c:catAx>
        <c:axId val="600677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738884"/>
        <c:crosses val="autoZero"/>
        <c:auto val="1"/>
        <c:lblOffset val="100"/>
        <c:noMultiLvlLbl val="0"/>
      </c:catAx>
      <c:valAx>
        <c:axId val="3738884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600677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TAX (BENEFIT)/COST OF IC-DISC VS. NO IC-DISC</a:t>
            </a:r>
          </a:p>
        </c:rich>
      </c:tx>
      <c:layout>
        <c:manualLayout>
          <c:xMode val="edge"/>
          <c:yMode val="edge"/>
          <c:x val="0.16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1"/>
          <c:y val="0.1455"/>
          <c:w val="0.829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'Inputs &amp; Summary'!$D$17</c:f>
              <c:strCache>
                <c:ptCount val="1"/>
                <c:pt idx="0">
                  <c:v> TAX (BENEFIT)/COST OF IC-DISC VS. NO IC-DISC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'Inputs &amp; Summary'!$E$3:$H$3</c:f>
              <c:strCache/>
            </c:strRef>
          </c:cat>
          <c:val>
            <c:numRef>
              <c:f>'Inputs &amp; Summary'!$E$17:$H$17</c:f>
              <c:numCache/>
            </c:numRef>
          </c:val>
        </c:ser>
        <c:axId val="33649957"/>
        <c:axId val="34414158"/>
      </c:barChart>
      <c:catAx>
        <c:axId val="33649957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crossAx val="34414158"/>
        <c:crosses val="autoZero"/>
        <c:auto val="1"/>
        <c:lblOffset val="100"/>
        <c:noMultiLvlLbl val="0"/>
      </c:catAx>
      <c:valAx>
        <c:axId val="34414158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336499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180975</xdr:rowOff>
    </xdr:from>
    <xdr:to>
      <xdr:col>3</xdr:col>
      <xdr:colOff>1038225</xdr:colOff>
      <xdr:row>36</xdr:row>
      <xdr:rowOff>171450</xdr:rowOff>
    </xdr:to>
    <xdr:graphicFrame macro="">
      <xdr:nvGraphicFramePr>
        <xdr:cNvPr id="4" name="Chart 3"/>
        <xdr:cNvGraphicFramePr/>
      </xdr:nvGraphicFramePr>
      <xdr:xfrm>
        <a:off x="76200" y="4610100"/>
        <a:ext cx="4933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1819275</xdr:colOff>
      <xdr:row>19</xdr:row>
      <xdr:rowOff>57150</xdr:rowOff>
    </xdr:from>
    <xdr:to>
      <xdr:col>7</xdr:col>
      <xdr:colOff>733425</xdr:colOff>
      <xdr:row>37</xdr:row>
      <xdr:rowOff>47625</xdr:rowOff>
    </xdr:to>
    <xdr:graphicFrame macro="">
      <xdr:nvGraphicFramePr>
        <xdr:cNvPr id="5" name="Chart 4" title="Effective Tax Rates"/>
        <xdr:cNvGraphicFramePr/>
      </xdr:nvGraphicFramePr>
      <xdr:xfrm>
        <a:off x="5791200" y="4676775"/>
        <a:ext cx="4933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1</xdr:row>
      <xdr:rowOff>66675</xdr:rowOff>
    </xdr:from>
    <xdr:to>
      <xdr:col>16</xdr:col>
      <xdr:colOff>171450</xdr:colOff>
      <xdr:row>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180975"/>
          <a:ext cx="4143375" cy="1371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552450</xdr:colOff>
      <xdr:row>5</xdr:row>
      <xdr:rowOff>28575</xdr:rowOff>
    </xdr:from>
    <xdr:to>
      <xdr:col>16</xdr:col>
      <xdr:colOff>600075</xdr:colOff>
      <xdr:row>13</xdr:row>
      <xdr:rowOff>0</xdr:rowOff>
    </xdr:to>
    <xdr:sp macro="" textlink="">
      <xdr:nvSpPr>
        <xdr:cNvPr id="7" name="TextBox 6"/>
        <xdr:cNvSpPr txBox="1"/>
      </xdr:nvSpPr>
      <xdr:spPr>
        <a:xfrm>
          <a:off x="11591925" y="1771650"/>
          <a:ext cx="4924425" cy="1647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CONTACT</a:t>
          </a:r>
          <a:r>
            <a:rPr lang="en-US" sz="1400" baseline="0"/>
            <a:t> INFORMATION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www.wtpadvisors.com</a:t>
          </a:r>
        </a:p>
        <a:p>
          <a:pPr algn="ctr"/>
          <a:endParaRPr lang="en-US" sz="1100" baseline="0"/>
        </a:p>
        <a:p>
          <a:pPr algn="l"/>
          <a:r>
            <a:rPr lang="en-US" sz="1100" baseline="0"/>
            <a:t>BRIAN SCHWAM		JIM FYHRIE</a:t>
          </a:r>
        </a:p>
        <a:p>
          <a:pPr algn="l"/>
          <a:r>
            <a:rPr lang="en-US" sz="1100" baseline="0"/>
            <a:t>Principal, WTP Advisors		Principal, WTP Advisors</a:t>
          </a:r>
        </a:p>
        <a:p>
          <a:pPr algn="l"/>
          <a:r>
            <a:rPr lang="en-US" sz="1100" baseline="0"/>
            <a:t>brian.schwam@wtpadvisors.com	jim.fyhrie@wtpadvisors.com</a:t>
          </a:r>
        </a:p>
        <a:p>
          <a:pPr algn="l"/>
          <a:r>
            <a:rPr lang="en-US" sz="1100" baseline="0"/>
            <a:t>(p)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414-839-5525		(p)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701-306-0681</a:t>
          </a:r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8</xdr:col>
      <xdr:colOff>333375</xdr:colOff>
      <xdr:row>19</xdr:row>
      <xdr:rowOff>57150</xdr:rowOff>
    </xdr:from>
    <xdr:to>
      <xdr:col>16</xdr:col>
      <xdr:colOff>390525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11372850" y="4676775"/>
        <a:ext cx="493395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e6" displayName="Table6" ref="A3:B9" totalsRowShown="0" headerRowDxfId="3">
  <tableColumns count="2">
    <tableColumn id="1" name="Input Description"/>
    <tableColumn id="2" name="Inputs" dataDxfId="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11:B17" totalsRowShown="0" headerRowDxfId="1">
  <tableColumns count="2">
    <tableColumn id="1" name="Tax Rate"/>
    <tableColumn id="2" name="Value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showZeros="0" tabSelected="1" workbookViewId="0" topLeftCell="A1">
      <selection activeCell="B6" sqref="B6"/>
    </sheetView>
  </sheetViews>
  <sheetFormatPr defaultColWidth="9.140625" defaultRowHeight="15"/>
  <cols>
    <col min="1" max="1" width="36.421875" style="0" customWidth="1"/>
    <col min="2" max="2" width="15.7109375" style="0" customWidth="1"/>
    <col min="3" max="3" width="7.421875" style="0" customWidth="1"/>
    <col min="4" max="4" width="44.8515625" style="0" bestFit="1" customWidth="1"/>
    <col min="5" max="5" width="14.00390625" style="0" customWidth="1"/>
    <col min="6" max="6" width="15.7109375" style="0" customWidth="1"/>
    <col min="7" max="7" width="15.7109375" style="19" customWidth="1"/>
    <col min="8" max="8" width="15.7109375" style="0" customWidth="1"/>
  </cols>
  <sheetData>
    <row r="1" s="19" customFormat="1" ht="9" customHeight="1"/>
    <row r="2" spans="1:10" ht="23.25">
      <c r="A2" s="36" t="s">
        <v>81</v>
      </c>
      <c r="D2" s="45" t="s">
        <v>84</v>
      </c>
      <c r="E2" s="46"/>
      <c r="F2" s="46"/>
      <c r="G2" s="46"/>
      <c r="H2" s="46"/>
      <c r="J2" s="19"/>
    </row>
    <row r="3" spans="1:8" ht="75">
      <c r="A3" s="33" t="s">
        <v>69</v>
      </c>
      <c r="B3" s="34" t="s">
        <v>68</v>
      </c>
      <c r="D3" s="32" t="s">
        <v>58</v>
      </c>
      <c r="E3" s="32" t="s">
        <v>87</v>
      </c>
      <c r="F3" s="32" t="s">
        <v>88</v>
      </c>
      <c r="G3" s="32" t="s">
        <v>89</v>
      </c>
      <c r="H3" s="32" t="s">
        <v>86</v>
      </c>
    </row>
    <row r="4" spans="1:8" ht="15">
      <c r="A4" t="s">
        <v>55</v>
      </c>
      <c r="B4" s="44" t="s">
        <v>57</v>
      </c>
      <c r="D4" s="27"/>
      <c r="E4" s="27"/>
      <c r="F4" s="27"/>
      <c r="G4" s="27"/>
      <c r="H4" s="27"/>
    </row>
    <row r="5" spans="1:8" ht="15">
      <c r="A5" t="s">
        <v>42</v>
      </c>
      <c r="B5" s="38">
        <v>5000000</v>
      </c>
      <c r="D5" s="27" t="s">
        <v>74</v>
      </c>
      <c r="E5" s="28">
        <f>IF($B$4="Flow-Thru",Senate!E13,0)</f>
        <v>5000000</v>
      </c>
      <c r="F5" s="28">
        <f>E5</f>
        <v>5000000</v>
      </c>
      <c r="G5" s="28">
        <f>F5</f>
        <v>5000000</v>
      </c>
      <c r="H5" s="28">
        <f>E5</f>
        <v>5000000</v>
      </c>
    </row>
    <row r="6" spans="1:8" ht="15">
      <c r="A6" t="s">
        <v>43</v>
      </c>
      <c r="B6" s="38">
        <v>1000000</v>
      </c>
      <c r="D6" s="27"/>
      <c r="E6" s="27"/>
      <c r="F6" s="28"/>
      <c r="G6" s="28"/>
      <c r="H6" s="28"/>
    </row>
    <row r="7" spans="1:8" ht="18.75">
      <c r="A7" t="s">
        <v>44</v>
      </c>
      <c r="B7" s="38">
        <v>10000000</v>
      </c>
      <c r="D7" s="29" t="s">
        <v>59</v>
      </c>
      <c r="E7" s="27"/>
      <c r="F7" s="28"/>
      <c r="G7" s="28"/>
      <c r="H7" s="28"/>
    </row>
    <row r="8" spans="1:8" ht="15">
      <c r="A8" t="s">
        <v>10</v>
      </c>
      <c r="B8" s="38">
        <v>250000</v>
      </c>
      <c r="D8" s="27" t="s">
        <v>60</v>
      </c>
      <c r="E8" s="28">
        <f>IF($B$4="Flow-Thru",Senate!D35,0)</f>
        <v>1980000</v>
      </c>
      <c r="F8" s="28">
        <f>IF($B$4="Flow-Thru",Senate!G35,0)</f>
        <v>1925000</v>
      </c>
      <c r="G8" s="28">
        <f>IF($B$4="Flow-Thru",Senate!G35,0)</f>
        <v>1925000</v>
      </c>
      <c r="H8" s="28">
        <f>IF($B$4="Flow-Thru",House!G37,0)</f>
        <v>1761000</v>
      </c>
    </row>
    <row r="9" spans="1:8" ht="15">
      <c r="A9" t="s">
        <v>45</v>
      </c>
      <c r="B9" s="38" t="s">
        <v>46</v>
      </c>
      <c r="D9" s="27" t="s">
        <v>61</v>
      </c>
      <c r="E9" s="28">
        <f>IF($B$4="Flow-Thru",Senate!E26,0)</f>
        <v>1190000</v>
      </c>
      <c r="F9" s="28"/>
      <c r="G9" s="28">
        <f>E9</f>
        <v>1190000</v>
      </c>
      <c r="H9" s="28">
        <f>IF($B$4="Flow-Thru",House!H26,0)</f>
        <v>1190000</v>
      </c>
    </row>
    <row r="10" spans="2:8" ht="15">
      <c r="B10" s="4"/>
      <c r="D10" s="27"/>
      <c r="E10" s="27"/>
      <c r="F10" s="27"/>
      <c r="G10" s="27"/>
      <c r="H10" s="27"/>
    </row>
    <row r="11" spans="1:8" ht="19.5">
      <c r="A11" s="33" t="s">
        <v>70</v>
      </c>
      <c r="B11" s="35" t="s">
        <v>71</v>
      </c>
      <c r="D11" s="40" t="s">
        <v>85</v>
      </c>
      <c r="E11" s="30"/>
      <c r="F11" s="30">
        <f>F8-E9</f>
        <v>735000</v>
      </c>
      <c r="G11" s="30"/>
      <c r="H11" s="30"/>
    </row>
    <row r="12" spans="1:8" ht="15">
      <c r="A12" s="19" t="s">
        <v>63</v>
      </c>
      <c r="B12" s="39">
        <v>0.396</v>
      </c>
      <c r="D12" s="27"/>
      <c r="E12" s="27"/>
      <c r="F12" s="28"/>
      <c r="G12" s="28"/>
      <c r="H12" s="28"/>
    </row>
    <row r="13" spans="1:8" ht="18.75">
      <c r="A13" s="19" t="s">
        <v>64</v>
      </c>
      <c r="B13" s="39">
        <v>0.385</v>
      </c>
      <c r="D13" s="29" t="s">
        <v>62</v>
      </c>
      <c r="E13" s="27"/>
      <c r="F13" s="27"/>
      <c r="G13" s="27"/>
      <c r="H13" s="27"/>
    </row>
    <row r="14" spans="1:8" ht="15">
      <c r="A14" s="19" t="s">
        <v>12</v>
      </c>
      <c r="B14" s="39">
        <v>0.238</v>
      </c>
      <c r="D14" s="27" t="s">
        <v>60</v>
      </c>
      <c r="E14" s="31">
        <f>_xlfn.IFERROR(E8/E5,0)</f>
        <v>0.396</v>
      </c>
      <c r="F14" s="31">
        <f>_xlfn.IFERROR(F8/F5,0)</f>
        <v>0.385</v>
      </c>
      <c r="G14" s="31">
        <f>F14</f>
        <v>0.385</v>
      </c>
      <c r="H14" s="31">
        <f>_xlfn.IFERROR(H8/H5,0)</f>
        <v>0.3522</v>
      </c>
    </row>
    <row r="15" spans="1:8" ht="15">
      <c r="A15" s="19" t="s">
        <v>51</v>
      </c>
      <c r="B15" s="26">
        <v>0.25</v>
      </c>
      <c r="D15" s="27" t="s">
        <v>61</v>
      </c>
      <c r="E15" s="31">
        <f>_xlfn.IFERROR(E9/E5,0)</f>
        <v>0.238</v>
      </c>
      <c r="F15" s="41"/>
      <c r="G15" s="43">
        <f>E15</f>
        <v>0.238</v>
      </c>
      <c r="H15" s="31">
        <f>_xlfn.IFERROR(H9/H5,0)</f>
        <v>0.238</v>
      </c>
    </row>
    <row r="16" spans="1:8" ht="15">
      <c r="A16" s="19" t="s">
        <v>52</v>
      </c>
      <c r="B16" s="26">
        <v>0.3</v>
      </c>
      <c r="D16" s="27"/>
      <c r="E16" s="31"/>
      <c r="F16" s="31"/>
      <c r="G16" s="31"/>
      <c r="H16" s="31"/>
    </row>
    <row r="17" spans="1:8" ht="19.5">
      <c r="A17" s="19" t="s">
        <v>54</v>
      </c>
      <c r="B17" s="26">
        <v>0.2</v>
      </c>
      <c r="D17" s="40" t="s">
        <v>90</v>
      </c>
      <c r="E17" s="42">
        <f>E15-E14</f>
        <v>-0.15800000000000003</v>
      </c>
      <c r="F17" s="42">
        <f>F14-E15</f>
        <v>0.14700000000000002</v>
      </c>
      <c r="G17" s="42">
        <f>G15-G14</f>
        <v>-0.14700000000000002</v>
      </c>
      <c r="H17" s="42">
        <f>H15-H14</f>
        <v>-0.11420000000000002</v>
      </c>
    </row>
  </sheetData>
  <sheetProtection password="B191" sheet="1" objects="1" scenarios="1" selectLockedCells="1"/>
  <mergeCells count="1">
    <mergeCell ref="D2:H2"/>
  </mergeCells>
  <dataValidations count="2">
    <dataValidation type="list" allowBlank="1" showInputMessage="1" showErrorMessage="1" sqref="B4">
      <formula1>Inputs!$C$1:$C$2</formula1>
    </dataValidation>
    <dataValidation type="list" allowBlank="1" showInputMessage="1" showErrorMessage="1" sqref="B9:B10">
      <formula1>Inputs!$A$1:$A$2</formula1>
    </dataValidation>
  </dataValidations>
  <printOptions/>
  <pageMargins left="0.7" right="0.7" top="0.75" bottom="0.75" header="0.3" footer="0.3"/>
  <pageSetup horizontalDpi="1200" verticalDpi="1200" orientation="portrait" r:id="rId4"/>
  <drawing r:id="rId3"/>
  <tableParts>
    <tablePart r:id="rId2"/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'Inputs &amp; Summary'!D2:D2</xm:f>
              <xm:sqref>A32</xm:sqref>
            </x14:sparkline>
            <x14:sparkline>
              <xm:f>'Inputs &amp; Summary'!E11:E11</xm:f>
              <xm:sqref>B32</xm:sqref>
            </x14:sparkline>
            <x14:sparkline>
              <xm:f>'Inputs &amp; Summary'!F11:F11</xm:f>
              <xm:sqref>C32</xm:sqref>
            </x14:sparkline>
            <x14:sparkline>
              <xm:f>'Inputs &amp; Summary'!H11:H11</xm:f>
              <xm:sqref>D32</xm:sqref>
            </x14:sparkline>
            <x14:sparkline>
              <xm:f/>
              <xm:sqref>E32</xm:sqref>
            </x14:sparkline>
            <x14:sparkline>
              <xm:f/>
              <xm:sqref>F32</xm:sqref>
            </x14:sparkline>
            <x14:sparkline>
              <xm:f>'Inputs &amp; Summary'!I11:I11</xm:f>
              <xm:sqref>G32</xm:sqref>
            </x14:sparkline>
          </x14:sparklines>
        </x14:sparklineGroup>
        <x14:sparklineGroup displayEmptyCellsAs="gap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'Inputs &amp; Summary'!E14:E14</xm:f>
              <xm:sqref>E16</xm:sqref>
            </x14:sparkline>
            <x14:sparkline>
              <xm:f>'Inputs &amp; Summary'!F14:F14</xm:f>
              <xm:sqref>F16</xm:sqref>
            </x14:sparkline>
            <x14:sparkline>
              <xm:f>'Inputs &amp; Summary'!G14:G14</xm:f>
              <xm:sqref>G16</xm:sqref>
            </x14:sparkline>
            <x14:sparkline>
              <xm:f>'Inputs &amp; Summary'!H14:H14</xm:f>
              <xm:sqref>H16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 topLeftCell="A4">
      <selection activeCell="K22" sqref="K22"/>
    </sheetView>
  </sheetViews>
  <sheetFormatPr defaultColWidth="9.140625" defaultRowHeight="15"/>
  <cols>
    <col min="1" max="1" width="69.57421875" style="0" customWidth="1"/>
    <col min="2" max="2" width="13.00390625" style="0" customWidth="1"/>
    <col min="3" max="3" width="3.140625" style="0" customWidth="1"/>
    <col min="4" max="5" width="18.7109375" style="0" customWidth="1"/>
    <col min="6" max="6" width="2.140625" style="0" customWidth="1"/>
    <col min="7" max="8" width="18.7109375" style="0" customWidth="1"/>
    <col min="9" max="9" width="2.8515625" style="0" customWidth="1"/>
    <col min="10" max="10" width="11.57421875" style="0" bestFit="1" customWidth="1"/>
    <col min="11" max="11" width="9.7109375" style="0" bestFit="1" customWidth="1"/>
  </cols>
  <sheetData>
    <row r="1" spans="1:2" ht="21">
      <c r="A1" s="24" t="s">
        <v>48</v>
      </c>
      <c r="B1" s="4"/>
    </row>
    <row r="2" spans="1:2" ht="18.75">
      <c r="A2" s="25" t="s">
        <v>49</v>
      </c>
      <c r="B2" s="4"/>
    </row>
    <row r="4" spans="4:8" ht="15">
      <c r="D4" s="6"/>
      <c r="E4" s="6"/>
      <c r="H4" s="6"/>
    </row>
    <row r="6" spans="4:8" ht="15">
      <c r="D6" s="10" t="s">
        <v>28</v>
      </c>
      <c r="E6" s="11"/>
      <c r="G6" s="10" t="s">
        <v>13</v>
      </c>
      <c r="H6" s="10"/>
    </row>
    <row r="7" spans="1:8" ht="30">
      <c r="A7" t="s">
        <v>0</v>
      </c>
      <c r="D7" s="7" t="s">
        <v>1</v>
      </c>
      <c r="E7" s="7" t="s">
        <v>53</v>
      </c>
      <c r="G7" s="7" t="s">
        <v>1</v>
      </c>
      <c r="H7" s="7" t="s">
        <v>53</v>
      </c>
    </row>
    <row r="8" spans="4:8" ht="15">
      <c r="D8" s="1"/>
      <c r="E8" s="1"/>
      <c r="G8" s="1"/>
      <c r="H8" s="1"/>
    </row>
    <row r="9" spans="10:11" ht="15">
      <c r="J9" s="22">
        <f>IF('Inputs &amp; Summary'!$B$5&lt;=0,0,MIN('Inputs &amp; Summary'!$B$5*$B$17,$B$16))</f>
        <v>125000</v>
      </c>
      <c r="K9" s="22">
        <f>IF('Inputs &amp; Summary'!$B$5&lt;=0,0,MIN(('Inputs &amp; Summary'!$B$5-H13)*$B$17,$B$16))</f>
        <v>0</v>
      </c>
    </row>
    <row r="10" spans="1:11" ht="15">
      <c r="A10" t="s">
        <v>66</v>
      </c>
      <c r="D10" s="5">
        <f>'Inputs &amp; Summary'!$B$5-'Inputs &amp; Summary'!B7</f>
        <v>-5000000</v>
      </c>
      <c r="E10" s="5">
        <f>$D$10</f>
        <v>-5000000</v>
      </c>
      <c r="G10" s="5">
        <f>$D$10</f>
        <v>-5000000</v>
      </c>
      <c r="H10" s="5">
        <f>$D$10</f>
        <v>-5000000</v>
      </c>
      <c r="I10" s="5"/>
      <c r="J10" s="22">
        <f>IF('Inputs &amp; Summary'!B5&lt;=0,0,MIN(G10*B17,B16))</f>
        <v>-869999.9999999999</v>
      </c>
      <c r="K10" s="21">
        <f>J10</f>
        <v>-869999.9999999999</v>
      </c>
    </row>
    <row r="11" spans="4:11" s="19" customFormat="1" ht="15">
      <c r="D11" s="21"/>
      <c r="E11" s="21"/>
      <c r="G11" s="21"/>
      <c r="H11" s="21"/>
      <c r="I11" s="21"/>
      <c r="J11" s="22"/>
      <c r="K11" s="21"/>
    </row>
    <row r="12" spans="1:8" ht="15">
      <c r="A12" t="s">
        <v>2</v>
      </c>
      <c r="D12" s="5">
        <f>'Inputs &amp; Summary'!$B$7</f>
        <v>10000000</v>
      </c>
      <c r="E12" s="5">
        <f>$D$12</f>
        <v>10000000</v>
      </c>
      <c r="G12" s="5">
        <f>$D$12</f>
        <v>10000000</v>
      </c>
      <c r="H12" s="5">
        <f>$D$12</f>
        <v>10000000</v>
      </c>
    </row>
    <row r="13" spans="1:8" ht="15">
      <c r="A13" t="s">
        <v>3</v>
      </c>
      <c r="D13" s="5"/>
      <c r="E13" s="5">
        <f>IF(E12&lt;0,0,MIN(E12,MAX(E12*0.5,'Inputs &amp; Summary'!$B$6*0.04)))</f>
        <v>5000000</v>
      </c>
      <c r="G13" s="5"/>
      <c r="H13" s="5">
        <f>IF(H12&lt;0,0,MIN(H12,MAX(H12*0.5,'Inputs &amp; Summary'!$B$6*0.04)))</f>
        <v>5000000</v>
      </c>
    </row>
    <row r="14" spans="4:8" ht="15">
      <c r="D14" s="5"/>
      <c r="E14" s="5"/>
      <c r="G14" s="5"/>
      <c r="H14" s="5"/>
    </row>
    <row r="15" spans="1:11" ht="15">
      <c r="A15" t="s">
        <v>67</v>
      </c>
      <c r="D15" s="5">
        <f>D12-D13</f>
        <v>10000000</v>
      </c>
      <c r="E15" s="5">
        <f>E12-E13</f>
        <v>5000000</v>
      </c>
      <c r="G15" s="5">
        <f>G12-G13</f>
        <v>10000000</v>
      </c>
      <c r="H15" s="5">
        <f>H12-H13</f>
        <v>5000000</v>
      </c>
      <c r="J15" s="21">
        <f>J9-J10</f>
        <v>994999.9999999999</v>
      </c>
      <c r="K15" s="21">
        <f>K9-K10</f>
        <v>869999.9999999999</v>
      </c>
    </row>
    <row r="16" spans="1:8" ht="15">
      <c r="A16" t="s">
        <v>11</v>
      </c>
      <c r="B16" s="5">
        <f>'Inputs &amp; Summary'!$B$8*0.5</f>
        <v>125000</v>
      </c>
      <c r="D16" s="5"/>
      <c r="E16" s="5"/>
      <c r="G16" s="5"/>
      <c r="H16" s="5"/>
    </row>
    <row r="17" spans="1:10" ht="15">
      <c r="A17" s="19" t="s">
        <v>65</v>
      </c>
      <c r="B17" s="8">
        <v>0.174</v>
      </c>
      <c r="D17" s="5"/>
      <c r="E17" s="5"/>
      <c r="G17" s="20">
        <f>J15</f>
        <v>994999.9999999999</v>
      </c>
      <c r="H17" s="22">
        <f>K15</f>
        <v>869999.9999999999</v>
      </c>
      <c r="J17" s="18"/>
    </row>
    <row r="18" spans="1:8" ht="15">
      <c r="A18" s="9" t="s">
        <v>40</v>
      </c>
      <c r="D18" s="5"/>
      <c r="E18" s="5"/>
      <c r="G18" s="5"/>
      <c r="H18" s="5"/>
    </row>
    <row r="19" spans="1:8" ht="15">
      <c r="A19" s="9" t="s">
        <v>41</v>
      </c>
      <c r="D19" s="5"/>
      <c r="E19" s="5"/>
      <c r="G19" s="5"/>
      <c r="H19" s="5"/>
    </row>
    <row r="20" spans="1:8" ht="15">
      <c r="A20" t="s">
        <v>4</v>
      </c>
      <c r="D20" s="5">
        <f>D15</f>
        <v>10000000</v>
      </c>
      <c r="E20" s="5">
        <f>E15</f>
        <v>5000000</v>
      </c>
      <c r="G20" s="5">
        <f>G15-G17</f>
        <v>9005000</v>
      </c>
      <c r="H20" s="21">
        <f>H15-H17</f>
        <v>4130000</v>
      </c>
    </row>
    <row r="21" spans="4:8" ht="15">
      <c r="D21" s="5"/>
      <c r="E21" s="5"/>
      <c r="G21" s="5"/>
      <c r="H21" s="5"/>
    </row>
    <row r="22" spans="1:11" ht="15">
      <c r="A22" t="s">
        <v>5</v>
      </c>
      <c r="B22" s="8">
        <f>'Inputs &amp; Summary'!B13</f>
        <v>0.385</v>
      </c>
      <c r="D22" s="5">
        <f>D20*0.396</f>
        <v>3960000</v>
      </c>
      <c r="E22" s="5">
        <f>E20*0.396</f>
        <v>1980000</v>
      </c>
      <c r="G22" s="5">
        <f>G20*$B22</f>
        <v>3466925</v>
      </c>
      <c r="H22" s="5">
        <f>H20*$B$22</f>
        <v>1590050</v>
      </c>
      <c r="K22" s="21">
        <f>IF(J15-K15=0,0,K15*B22)</f>
        <v>334949.99999999994</v>
      </c>
    </row>
    <row r="23" spans="4:8" ht="15">
      <c r="D23" s="5"/>
      <c r="E23" s="5"/>
      <c r="G23" s="5"/>
      <c r="H23" s="5"/>
    </row>
    <row r="24" spans="1:8" ht="15">
      <c r="A24" t="s">
        <v>6</v>
      </c>
      <c r="D24" s="5"/>
      <c r="E24" s="21">
        <f>E13</f>
        <v>5000000</v>
      </c>
      <c r="G24" s="5"/>
      <c r="H24" s="5">
        <f>H13</f>
        <v>5000000</v>
      </c>
    </row>
    <row r="25" spans="4:8" ht="15">
      <c r="D25" s="5"/>
      <c r="E25" s="5"/>
      <c r="G25" s="5"/>
      <c r="H25" s="5"/>
    </row>
    <row r="26" spans="1:8" ht="15">
      <c r="A26" t="s">
        <v>7</v>
      </c>
      <c r="B26" s="8">
        <f>'Inputs &amp; Summary'!B14</f>
        <v>0.238</v>
      </c>
      <c r="D26" s="5"/>
      <c r="E26" s="21">
        <f>E24*$B$26</f>
        <v>1190000</v>
      </c>
      <c r="G26" s="5"/>
      <c r="H26" s="5">
        <f>H24*$B$26</f>
        <v>1190000</v>
      </c>
    </row>
    <row r="27" spans="4:8" ht="15">
      <c r="D27" s="5"/>
      <c r="E27" s="5"/>
      <c r="G27" s="5"/>
      <c r="H27" s="5"/>
    </row>
    <row r="28" spans="1:8" ht="15">
      <c r="A28" t="s">
        <v>8</v>
      </c>
      <c r="D28" s="5">
        <f>D22+D26</f>
        <v>3960000</v>
      </c>
      <c r="E28" s="5">
        <f>E22+E26</f>
        <v>3170000</v>
      </c>
      <c r="G28" s="5">
        <f>G22+G26</f>
        <v>3466925</v>
      </c>
      <c r="H28" s="5">
        <f>H22+H26</f>
        <v>2780050</v>
      </c>
    </row>
    <row r="29" spans="1:8" ht="15">
      <c r="A29" t="s">
        <v>30</v>
      </c>
      <c r="D29" s="5"/>
      <c r="E29" s="12">
        <f>D28-E28</f>
        <v>790000</v>
      </c>
      <c r="G29" s="5"/>
      <c r="H29" s="12">
        <f>G28-H28</f>
        <v>686875</v>
      </c>
    </row>
    <row r="31" spans="1:8" ht="15">
      <c r="A31" t="s">
        <v>9</v>
      </c>
      <c r="D31" s="8">
        <f>D28/D12</f>
        <v>0.396</v>
      </c>
      <c r="E31" s="8">
        <f>E28/E12</f>
        <v>0.317</v>
      </c>
      <c r="G31" s="8">
        <f>G28/G12</f>
        <v>0.3466925</v>
      </c>
      <c r="H31" s="8">
        <f>H28/H12</f>
        <v>0.278005</v>
      </c>
    </row>
    <row r="32" spans="1:8" ht="15">
      <c r="A32" t="s">
        <v>29</v>
      </c>
      <c r="E32" s="13">
        <f>D31-E31</f>
        <v>0.07900000000000001</v>
      </c>
      <c r="H32" s="13">
        <f>G31-H31</f>
        <v>0.06868750000000001</v>
      </c>
    </row>
    <row r="35" spans="1:7" ht="15">
      <c r="A35" t="s">
        <v>75</v>
      </c>
      <c r="D35" s="22">
        <f>E13*0.396</f>
        <v>1980000</v>
      </c>
      <c r="G35" s="22">
        <f>H13*B22</f>
        <v>1925000</v>
      </c>
    </row>
    <row r="36" spans="7:8" ht="15">
      <c r="G36" s="21"/>
      <c r="H36" s="21"/>
    </row>
    <row r="37" spans="7:8" ht="15">
      <c r="G37" s="21"/>
      <c r="H37" s="21"/>
    </row>
    <row r="39" spans="7:8" ht="15">
      <c r="G39" s="21"/>
      <c r="H39" s="21"/>
    </row>
    <row r="40" spans="7:8" ht="15">
      <c r="G40" s="22"/>
      <c r="H40" s="22"/>
    </row>
    <row r="41" ht="15">
      <c r="H41" s="21"/>
    </row>
  </sheetData>
  <sheetProtection password="B191" sheet="1" objects="1" scenarios="1" selectLockedCells="1" selectUnlockedCells="1"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workbookViewId="0" topLeftCell="A4">
      <selection activeCell="G34" sqref="G34"/>
    </sheetView>
  </sheetViews>
  <sheetFormatPr defaultColWidth="9.140625" defaultRowHeight="15"/>
  <cols>
    <col min="1" max="1" width="83.140625" style="0" bestFit="1" customWidth="1"/>
    <col min="2" max="2" width="13.00390625" style="0" customWidth="1"/>
    <col min="3" max="3" width="11.8515625" style="0" customWidth="1"/>
    <col min="4" max="5" width="18.7109375" style="0" customWidth="1"/>
    <col min="6" max="6" width="2.140625" style="0" customWidth="1"/>
    <col min="7" max="8" width="18.7109375" style="0" customWidth="1"/>
    <col min="9" max="9" width="15.7109375" style="0" customWidth="1"/>
  </cols>
  <sheetData>
    <row r="1" spans="1:2" ht="21">
      <c r="A1" s="24" t="s">
        <v>72</v>
      </c>
      <c r="B1" s="4"/>
    </row>
    <row r="2" spans="1:2" ht="18.75">
      <c r="A2" s="25" t="s">
        <v>49</v>
      </c>
      <c r="B2" s="4"/>
    </row>
    <row r="4" spans="4:5" ht="15">
      <c r="D4" s="6"/>
      <c r="E4" s="6"/>
    </row>
    <row r="6" spans="4:8" ht="15">
      <c r="D6" s="10" t="s">
        <v>28</v>
      </c>
      <c r="E6" s="11"/>
      <c r="G6" s="10" t="s">
        <v>13</v>
      </c>
      <c r="H6" s="10"/>
    </row>
    <row r="7" spans="1:8" ht="30">
      <c r="A7" t="s">
        <v>0</v>
      </c>
      <c r="D7" s="7" t="s">
        <v>1</v>
      </c>
      <c r="E7" s="7" t="s">
        <v>39</v>
      </c>
      <c r="G7" s="7" t="s">
        <v>1</v>
      </c>
      <c r="H7" s="7" t="s">
        <v>53</v>
      </c>
    </row>
    <row r="8" spans="4:8" ht="15">
      <c r="D8" s="1"/>
      <c r="E8" s="1"/>
      <c r="G8" s="1"/>
      <c r="H8" s="1"/>
    </row>
    <row r="10" spans="1:8" ht="15">
      <c r="A10" t="s">
        <v>2</v>
      </c>
      <c r="D10" s="5">
        <f>'Inputs &amp; Summary'!$B$7</f>
        <v>10000000</v>
      </c>
      <c r="E10" s="15">
        <f>D10</f>
        <v>10000000</v>
      </c>
      <c r="F10" s="16"/>
      <c r="G10" s="5">
        <f>D10</f>
        <v>10000000</v>
      </c>
      <c r="H10" s="15">
        <f>D10</f>
        <v>10000000</v>
      </c>
    </row>
    <row r="11" spans="1:8" ht="15">
      <c r="A11" t="s">
        <v>3</v>
      </c>
      <c r="D11" s="5"/>
      <c r="E11" s="15">
        <f>IF(E10&lt;0,0,MIN(E10,MAX(E10*0.5,'Inputs &amp; Summary'!$B$6*0.04)))</f>
        <v>5000000</v>
      </c>
      <c r="F11" s="16"/>
      <c r="G11" s="5"/>
      <c r="H11" s="15">
        <f>IF(H10&lt;0,0,MIN(H10,MAX(H10*0.5,'Inputs &amp; Summary'!$B$6*0.04)))</f>
        <v>5000000</v>
      </c>
    </row>
    <row r="12" spans="4:8" ht="15">
      <c r="D12" s="5"/>
      <c r="E12" s="15"/>
      <c r="F12" s="16"/>
      <c r="G12" s="5"/>
      <c r="H12" s="15"/>
    </row>
    <row r="13" spans="1:8" ht="15">
      <c r="A13" t="s">
        <v>35</v>
      </c>
      <c r="D13" s="5">
        <f>D10-D11</f>
        <v>10000000</v>
      </c>
      <c r="E13" s="15">
        <f>E10-E11</f>
        <v>5000000</v>
      </c>
      <c r="F13" s="16"/>
      <c r="G13" s="5">
        <f>G10-G11</f>
        <v>10000000</v>
      </c>
      <c r="H13" s="15">
        <f>H10-H11</f>
        <v>5000000</v>
      </c>
    </row>
    <row r="14" spans="1:8" ht="15">
      <c r="A14" t="s">
        <v>31</v>
      </c>
      <c r="B14" s="5"/>
      <c r="D14" s="5"/>
      <c r="E14" s="15"/>
      <c r="F14" s="16"/>
      <c r="G14" s="5">
        <f>'Inputs &amp; Summary'!$B$8</f>
        <v>250000</v>
      </c>
      <c r="H14" s="15">
        <f>G14</f>
        <v>250000</v>
      </c>
    </row>
    <row r="15" spans="4:8" ht="15">
      <c r="D15" s="5"/>
      <c r="E15" s="15"/>
      <c r="F15" s="16"/>
      <c r="G15" s="5"/>
      <c r="H15" s="15"/>
    </row>
    <row r="16" spans="1:8" ht="15">
      <c r="A16" t="s">
        <v>50</v>
      </c>
      <c r="D16" s="5">
        <f>D13</f>
        <v>10000000</v>
      </c>
      <c r="E16" s="15">
        <f>E13</f>
        <v>5000000</v>
      </c>
      <c r="F16" s="16"/>
      <c r="G16" s="5">
        <f>G13+G14</f>
        <v>10250000</v>
      </c>
      <c r="H16" s="15">
        <f>H13+H14</f>
        <v>5250000</v>
      </c>
    </row>
    <row r="17" spans="4:8" ht="15">
      <c r="D17" s="5"/>
      <c r="E17" s="15"/>
      <c r="G17" s="5"/>
      <c r="H17" s="15"/>
    </row>
    <row r="18" spans="1:8" ht="15">
      <c r="A18" t="s">
        <v>32</v>
      </c>
      <c r="B18" s="14">
        <f>IF('Inputs &amp; Summary'!B9="Active",'Inputs &amp; Summary'!B16,1)</f>
        <v>0.3</v>
      </c>
      <c r="D18" s="5"/>
      <c r="E18" s="15"/>
      <c r="G18" s="5"/>
      <c r="H18" s="15"/>
    </row>
    <row r="19" spans="1:8" ht="15">
      <c r="A19" t="s">
        <v>36</v>
      </c>
      <c r="D19" s="5"/>
      <c r="E19" s="15"/>
      <c r="F19" s="15"/>
      <c r="G19" s="37">
        <f>IF('Inputs &amp; Summary'!$B9="Passive",House!G13,MIN(G16*$B18,G13))</f>
        <v>3075000</v>
      </c>
      <c r="H19" s="15">
        <f>IF('Inputs &amp; Summary'!$B9="Passive",House!H13,MIN(H16*$B18,H13))</f>
        <v>1575000</v>
      </c>
    </row>
    <row r="20" spans="1:8" ht="15">
      <c r="A20" t="s">
        <v>37</v>
      </c>
      <c r="B20" s="3"/>
      <c r="D20" s="5"/>
      <c r="E20" s="15"/>
      <c r="F20" s="15"/>
      <c r="G20" s="22">
        <f>G13-G19</f>
        <v>6925000</v>
      </c>
      <c r="H20" s="15">
        <f>H13-H19</f>
        <v>3425000</v>
      </c>
    </row>
    <row r="21" spans="1:8" ht="15">
      <c r="A21" t="s">
        <v>33</v>
      </c>
      <c r="B21" s="14">
        <f>'Inputs &amp; Summary'!B15</f>
        <v>0.25</v>
      </c>
      <c r="D21" s="5"/>
      <c r="E21" s="15"/>
      <c r="F21" s="15"/>
      <c r="G21" s="5">
        <f>G19*$B21</f>
        <v>768750</v>
      </c>
      <c r="H21" s="15">
        <f>H19*$B21</f>
        <v>393750</v>
      </c>
    </row>
    <row r="22" spans="1:8" ht="15">
      <c r="A22" t="s">
        <v>34</v>
      </c>
      <c r="B22" s="8">
        <v>0.396</v>
      </c>
      <c r="D22" s="5">
        <f>D16*$B22</f>
        <v>3960000</v>
      </c>
      <c r="E22" s="15">
        <f>E16*$B22</f>
        <v>1980000</v>
      </c>
      <c r="F22" s="15"/>
      <c r="G22" s="5">
        <f>G20*$B22</f>
        <v>2742300</v>
      </c>
      <c r="H22" s="15">
        <f>H20*$B22</f>
        <v>1356300</v>
      </c>
    </row>
    <row r="23" spans="4:8" ht="15">
      <c r="D23" s="5"/>
      <c r="E23" s="15"/>
      <c r="F23" s="15"/>
      <c r="G23" s="5"/>
      <c r="H23" s="15"/>
    </row>
    <row r="24" spans="1:8" ht="15">
      <c r="A24" t="s">
        <v>6</v>
      </c>
      <c r="D24" s="5"/>
      <c r="E24" s="23">
        <f>E11</f>
        <v>5000000</v>
      </c>
      <c r="F24" s="15"/>
      <c r="G24" s="5"/>
      <c r="H24" s="15">
        <f>H11</f>
        <v>5000000</v>
      </c>
    </row>
    <row r="25" spans="4:8" ht="15">
      <c r="D25" s="5"/>
      <c r="E25" s="15"/>
      <c r="F25" s="15"/>
      <c r="G25" s="5"/>
      <c r="H25" s="15"/>
    </row>
    <row r="26" spans="1:8" ht="15">
      <c r="A26" t="s">
        <v>7</v>
      </c>
      <c r="B26" s="8">
        <f>'Inputs &amp; Summary'!B14</f>
        <v>0.238</v>
      </c>
      <c r="D26" s="5"/>
      <c r="E26" s="23">
        <f>$B26*E24</f>
        <v>1190000</v>
      </c>
      <c r="F26" s="15"/>
      <c r="G26" s="5"/>
      <c r="H26" s="15">
        <f>$B26*H24</f>
        <v>1190000</v>
      </c>
    </row>
    <row r="27" spans="4:8" ht="15">
      <c r="D27" s="5"/>
      <c r="E27" s="15"/>
      <c r="F27" s="15"/>
      <c r="G27" s="5"/>
      <c r="H27" s="15"/>
    </row>
    <row r="28" spans="1:8" ht="15">
      <c r="A28" t="s">
        <v>8</v>
      </c>
      <c r="D28" s="5">
        <f>D22+D26</f>
        <v>3960000</v>
      </c>
      <c r="E28" s="15">
        <f>E22+E26</f>
        <v>3170000</v>
      </c>
      <c r="F28" s="15"/>
      <c r="G28" s="5">
        <f>SUM(G21:G22)+G26</f>
        <v>3511050</v>
      </c>
      <c r="H28" s="15">
        <f>SUM(H21:H22)+H26</f>
        <v>2940050</v>
      </c>
    </row>
    <row r="29" spans="1:8" ht="15">
      <c r="A29" t="s">
        <v>30</v>
      </c>
      <c r="D29" s="15"/>
      <c r="E29" s="17">
        <f>D28-E28</f>
        <v>790000</v>
      </c>
      <c r="F29" s="17"/>
      <c r="G29" s="17"/>
      <c r="H29" s="17">
        <f>G28-H28</f>
        <v>571000</v>
      </c>
    </row>
    <row r="31" spans="1:8" ht="15">
      <c r="A31" t="s">
        <v>9</v>
      </c>
      <c r="D31" s="8">
        <f>D28/D10</f>
        <v>0.396</v>
      </c>
      <c r="E31" s="8">
        <f>E28/E10</f>
        <v>0.317</v>
      </c>
      <c r="G31" s="8">
        <f>G28/G10</f>
        <v>0.351105</v>
      </c>
      <c r="H31" s="8">
        <f>H28/H10</f>
        <v>0.294005</v>
      </c>
    </row>
    <row r="32" spans="1:8" ht="15">
      <c r="A32" t="s">
        <v>29</v>
      </c>
      <c r="E32" s="13">
        <f>D31-E31</f>
        <v>0.07900000000000001</v>
      </c>
      <c r="H32" s="13">
        <f>G31-H31</f>
        <v>0.057099999999999984</v>
      </c>
    </row>
    <row r="34" spans="1:8" ht="15">
      <c r="A34" s="19" t="s">
        <v>75</v>
      </c>
      <c r="G34" s="2">
        <f>(G19-H19)*B21</f>
        <v>375000</v>
      </c>
      <c r="H34" t="s">
        <v>82</v>
      </c>
    </row>
    <row r="35" ht="15">
      <c r="G35" s="21">
        <f>(H11-(G19-H19))*B22</f>
        <v>1386000</v>
      </c>
    </row>
    <row r="37" spans="1:7" ht="15">
      <c r="A37" t="s">
        <v>83</v>
      </c>
      <c r="G37" s="21">
        <f>G35+G34</f>
        <v>1761000</v>
      </c>
    </row>
    <row r="39" ht="15">
      <c r="A39" t="s">
        <v>18</v>
      </c>
    </row>
    <row r="41" ht="15">
      <c r="A41" t="s">
        <v>14</v>
      </c>
    </row>
    <row r="42" ht="15">
      <c r="A42" t="s">
        <v>15</v>
      </c>
    </row>
    <row r="44" ht="15">
      <c r="A44" t="s">
        <v>16</v>
      </c>
    </row>
    <row r="45" ht="15">
      <c r="A45" t="s">
        <v>17</v>
      </c>
    </row>
    <row r="48" ht="15">
      <c r="A48" t="s">
        <v>19</v>
      </c>
    </row>
    <row r="49" ht="15">
      <c r="A49" t="s">
        <v>20</v>
      </c>
    </row>
    <row r="50" ht="15">
      <c r="A50" t="s">
        <v>21</v>
      </c>
    </row>
    <row r="51" ht="15">
      <c r="A51" t="s">
        <v>22</v>
      </c>
    </row>
    <row r="52" ht="15">
      <c r="A52" t="s">
        <v>23</v>
      </c>
    </row>
    <row r="53" ht="15">
      <c r="A53" t="s">
        <v>24</v>
      </c>
    </row>
    <row r="57" ht="15">
      <c r="A57" t="s">
        <v>25</v>
      </c>
    </row>
    <row r="58" ht="15">
      <c r="A58" t="s">
        <v>26</v>
      </c>
    </row>
    <row r="59" ht="15">
      <c r="A59" t="s">
        <v>27</v>
      </c>
    </row>
  </sheetData>
  <sheetProtection password="B191" sheet="1" objects="1" scenarios="1" selectLockedCells="1" selectUnlockedCells="1"/>
  <printOptions/>
  <pageMargins left="0.25" right="0.25" top="0.75" bottom="0.75" header="0.3" footer="0.3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workbookViewId="0" topLeftCell="A1">
      <selection activeCell="D29" sqref="D29"/>
    </sheetView>
  </sheetViews>
  <sheetFormatPr defaultColWidth="9.140625" defaultRowHeight="15"/>
  <cols>
    <col min="1" max="1" width="43.421875" style="0" customWidth="1"/>
    <col min="2" max="2" width="7.140625" style="0" bestFit="1" customWidth="1"/>
    <col min="3" max="3" width="3.28125" style="0" customWidth="1"/>
    <col min="4" max="5" width="18.7109375" style="0" customWidth="1"/>
    <col min="6" max="6" width="2.140625" style="0" customWidth="1"/>
    <col min="7" max="8" width="18.7109375" style="0" customWidth="1"/>
    <col min="9" max="9" width="15.7109375" style="0" customWidth="1"/>
    <col min="11" max="11" width="13.28125" style="0" bestFit="1" customWidth="1"/>
  </cols>
  <sheetData>
    <row r="1" spans="1:2" ht="21">
      <c r="A1" s="24" t="s">
        <v>73</v>
      </c>
      <c r="B1" s="4"/>
    </row>
    <row r="2" spans="1:2" ht="18.75">
      <c r="A2" s="25" t="s">
        <v>49</v>
      </c>
      <c r="B2" s="4"/>
    </row>
    <row r="4" ht="15">
      <c r="B4" s="3"/>
    </row>
    <row r="5" spans="4:5" ht="15">
      <c r="D5" s="6"/>
      <c r="E5" s="6"/>
    </row>
    <row r="7" spans="4:8" ht="15">
      <c r="D7" s="10" t="s">
        <v>28</v>
      </c>
      <c r="E7" s="11"/>
      <c r="G7" s="10" t="s">
        <v>79</v>
      </c>
      <c r="H7" s="10"/>
    </row>
    <row r="8" spans="4:8" ht="30">
      <c r="D8" s="7" t="s">
        <v>78</v>
      </c>
      <c r="E8" s="7" t="s">
        <v>80</v>
      </c>
      <c r="G8" s="7" t="s">
        <v>1</v>
      </c>
      <c r="H8" s="7" t="s">
        <v>39</v>
      </c>
    </row>
    <row r="9" spans="4:8" ht="15">
      <c r="D9" s="1"/>
      <c r="E9" s="1"/>
      <c r="G9" s="1"/>
      <c r="H9" s="1"/>
    </row>
    <row r="11" spans="1:8" ht="15">
      <c r="A11" t="s">
        <v>2</v>
      </c>
      <c r="D11" s="5">
        <f>'Inputs &amp; Summary'!$B$7</f>
        <v>10000000</v>
      </c>
      <c r="E11" s="2">
        <f>D11</f>
        <v>10000000</v>
      </c>
      <c r="G11" s="5">
        <f>E11</f>
        <v>10000000</v>
      </c>
      <c r="H11" s="2">
        <f>G11</f>
        <v>10000000</v>
      </c>
    </row>
    <row r="12" spans="1:8" ht="15">
      <c r="A12" t="s">
        <v>3</v>
      </c>
      <c r="E12" s="15">
        <f>IF(E11&lt;0,0,MIN(E11,MAX(E11*0.5,'Inputs &amp; Summary'!$B$6*0.04)))</f>
        <v>5000000</v>
      </c>
      <c r="H12" s="15">
        <f>IF(H11&lt;0,0,MIN(H11,MAX(H11*0.5,'Inputs &amp; Summary'!$B$6*0.04)))</f>
        <v>5000000</v>
      </c>
    </row>
    <row r="14" spans="1:8" ht="15">
      <c r="A14" t="s">
        <v>38</v>
      </c>
      <c r="D14" s="5">
        <f>D11-D12</f>
        <v>10000000</v>
      </c>
      <c r="E14" s="5">
        <f>E11-E12</f>
        <v>5000000</v>
      </c>
      <c r="G14" s="5">
        <f>G11-G12</f>
        <v>10000000</v>
      </c>
      <c r="H14" s="5">
        <f>H11-H12</f>
        <v>5000000</v>
      </c>
    </row>
    <row r="17" spans="1:8" ht="15">
      <c r="A17" t="s">
        <v>77</v>
      </c>
      <c r="B17" s="14">
        <f>'Inputs &amp; Summary'!$B$17</f>
        <v>0.2</v>
      </c>
      <c r="D17" s="5">
        <f>D14*0.34</f>
        <v>3400000.0000000005</v>
      </c>
      <c r="E17" s="5">
        <f>E14*0.34</f>
        <v>1700000.0000000002</v>
      </c>
      <c r="G17" s="5">
        <f>G14*$B17</f>
        <v>2000000</v>
      </c>
      <c r="H17" s="5">
        <f>H14*$B17</f>
        <v>1000000</v>
      </c>
    </row>
    <row r="19" spans="1:8" ht="15">
      <c r="A19" t="s">
        <v>6</v>
      </c>
      <c r="D19" s="5">
        <f>E19</f>
        <v>5000000</v>
      </c>
      <c r="E19" s="5">
        <f>E12</f>
        <v>5000000</v>
      </c>
      <c r="G19" s="5">
        <f>H19</f>
        <v>5000000</v>
      </c>
      <c r="H19" s="5">
        <f>H12</f>
        <v>5000000</v>
      </c>
    </row>
    <row r="21" spans="1:8" ht="15">
      <c r="A21" t="s">
        <v>7</v>
      </c>
      <c r="B21" s="8">
        <f>'Inputs &amp; Summary'!$B$14</f>
        <v>0.238</v>
      </c>
      <c r="D21" s="4">
        <f>D19*$B21</f>
        <v>1190000</v>
      </c>
      <c r="E21" s="4">
        <f>E19*$B21</f>
        <v>1190000</v>
      </c>
      <c r="G21" s="4">
        <f>G19*$B21</f>
        <v>1190000</v>
      </c>
      <c r="H21" s="4">
        <f>H19*$B21</f>
        <v>1190000</v>
      </c>
    </row>
    <row r="23" spans="1:8" ht="15">
      <c r="A23" t="s">
        <v>8</v>
      </c>
      <c r="D23" s="5">
        <f>D21+D17</f>
        <v>4590000</v>
      </c>
      <c r="E23" s="5">
        <f>E21+E17</f>
        <v>2890000</v>
      </c>
      <c r="G23" s="5">
        <f>G21+G17</f>
        <v>3190000</v>
      </c>
      <c r="H23" s="5">
        <f>H21+H17</f>
        <v>2190000</v>
      </c>
    </row>
    <row r="24" spans="1:8" ht="15">
      <c r="A24" t="s">
        <v>30</v>
      </c>
      <c r="D24" s="5"/>
      <c r="E24" s="12">
        <f>D23-E23</f>
        <v>1700000</v>
      </c>
      <c r="G24" s="5"/>
      <c r="H24" s="12">
        <f>G23-H23</f>
        <v>1000000</v>
      </c>
    </row>
    <row r="26" spans="1:8" ht="15">
      <c r="A26" t="s">
        <v>9</v>
      </c>
      <c r="D26" s="8">
        <f>D23/D11</f>
        <v>0.459</v>
      </c>
      <c r="E26" s="8">
        <f>E23/E11</f>
        <v>0.289</v>
      </c>
      <c r="G26" s="8">
        <f>G23/G11</f>
        <v>0.319</v>
      </c>
      <c r="H26" s="8">
        <f>H23/H11</f>
        <v>0.219</v>
      </c>
    </row>
    <row r="27" spans="1:8" ht="15">
      <c r="A27" t="s">
        <v>29</v>
      </c>
      <c r="E27" s="13">
        <f>D26-E26</f>
        <v>0.17000000000000004</v>
      </c>
      <c r="H27" s="13">
        <f>G26-H26</f>
        <v>0.1</v>
      </c>
    </row>
    <row r="29" spans="1:8" ht="15">
      <c r="A29" t="s">
        <v>76</v>
      </c>
      <c r="D29" s="22">
        <f>D19*0.34</f>
        <v>1700000.0000000002</v>
      </c>
      <c r="E29" s="22">
        <f>E19*$B21</f>
        <v>1190000</v>
      </c>
      <c r="G29" s="22">
        <f>G19*B17</f>
        <v>1000000</v>
      </c>
      <c r="H29" s="22">
        <f>H19*$B21</f>
        <v>1190000</v>
      </c>
    </row>
    <row r="34" ht="15">
      <c r="A34" t="s">
        <v>18</v>
      </c>
    </row>
    <row r="36" ht="15">
      <c r="A36" t="s">
        <v>14</v>
      </c>
    </row>
    <row r="37" ht="15">
      <c r="A37" t="s">
        <v>15</v>
      </c>
    </row>
    <row r="39" ht="15">
      <c r="A39" t="s">
        <v>16</v>
      </c>
    </row>
    <row r="40" ht="15">
      <c r="A40" t="s">
        <v>17</v>
      </c>
    </row>
    <row r="43" ht="15">
      <c r="A43" t="s">
        <v>19</v>
      </c>
    </row>
    <row r="44" ht="15">
      <c r="A44" t="s">
        <v>20</v>
      </c>
    </row>
    <row r="45" ht="15">
      <c r="A45" t="s">
        <v>21</v>
      </c>
    </row>
    <row r="46" ht="15">
      <c r="A46" t="s">
        <v>22</v>
      </c>
    </row>
    <row r="47" ht="15">
      <c r="A47" t="s">
        <v>23</v>
      </c>
    </row>
    <row r="48" ht="15">
      <c r="A48" t="s">
        <v>24</v>
      </c>
    </row>
    <row r="52" ht="15">
      <c r="A52" t="s">
        <v>25</v>
      </c>
    </row>
    <row r="53" ht="15">
      <c r="A53" t="s">
        <v>26</v>
      </c>
    </row>
    <row r="54" ht="15">
      <c r="A54" t="s">
        <v>27</v>
      </c>
    </row>
  </sheetData>
  <sheetProtection password="B191" sheet="1" objects="1" scenarios="1" selectLockedCells="1" selectUnlockedCells="1"/>
  <printOptions/>
  <pageMargins left="0.25" right="0.25" top="0.75" bottom="0.75" header="0.3" footer="0.3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"/>
  <sheetViews>
    <sheetView workbookViewId="0" topLeftCell="A1">
      <selection activeCell="C2" sqref="C2"/>
    </sheetView>
  </sheetViews>
  <sheetFormatPr defaultColWidth="9.140625" defaultRowHeight="15"/>
  <sheetData>
    <row r="1" spans="1:3" ht="15">
      <c r="A1" t="s">
        <v>46</v>
      </c>
      <c r="C1" t="s">
        <v>56</v>
      </c>
    </row>
    <row r="2" spans="1:3" ht="15">
      <c r="A2" t="s">
        <v>47</v>
      </c>
      <c r="C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Guy Sanschagrin</cp:lastModifiedBy>
  <cp:lastPrinted>2017-11-12T00:58:39Z</cp:lastPrinted>
  <dcterms:created xsi:type="dcterms:W3CDTF">2017-11-11T01:30:40Z</dcterms:created>
  <dcterms:modified xsi:type="dcterms:W3CDTF">2017-11-21T15:19:47Z</dcterms:modified>
  <cp:category/>
  <cp:version/>
  <cp:contentType/>
  <cp:contentStatus/>
</cp:coreProperties>
</file>